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ssumptions" sheetId="1" state="visible" r:id="rId1"/>
    <sheet name="Revenue build" sheetId="2" state="visible" r:id="rId2"/>
    <sheet name="P&amp;L 5 năm" sheetId="3" state="visible" r:id="rId3"/>
    <sheet name="Unit economics" sheetId="4" state="visible" r:id="rId4"/>
    <sheet name="Funding &amp; cap table" sheetId="5" state="visible" r:id="rId5"/>
    <sheet name="DCF &amp; sensitivity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#,##0;(#,##0);&quot;-&quot;"/>
    <numFmt numFmtId="165" formatCode="0.0%"/>
    <numFmt numFmtId="166" formatCode="#,##0.0;(#,##0.0);&quot;-&quot;"/>
    <numFmt numFmtId="167" formatCode="0.0x"/>
    <numFmt numFmtId="168" formatCode="0.000"/>
  </numFmts>
  <fonts count="12">
    <font>
      <name val="Calibri"/>
      <family val="2"/>
      <color theme="1"/>
      <sz val="11"/>
      <scheme val="minor"/>
    </font>
    <font>
      <name val="Arial"/>
      <b val="1"/>
      <color rgb="000D9488"/>
      <sz val="13"/>
    </font>
    <font>
      <name val="Arial"/>
      <i val="1"/>
      <color rgb="006B7280"/>
      <sz val="8"/>
    </font>
    <font>
      <name val="Arial"/>
      <b val="1"/>
      <color rgb="00FFFFFF"/>
    </font>
    <font>
      <name val="Arial"/>
    </font>
    <font>
      <name val="Arial"/>
      <color rgb="000000FF"/>
    </font>
    <font>
      <name val="Arial"/>
      <color rgb="00000000"/>
    </font>
    <font>
      <name val="Arial"/>
      <b val="1"/>
    </font>
    <font>
      <name val="Arial"/>
      <b val="1"/>
      <color rgb="00000000"/>
    </font>
    <font>
      <name val="Arial"/>
      <color rgb="00008000"/>
    </font>
    <font>
      <name val="Arial"/>
      <b val="1"/>
      <color rgb="00008000"/>
    </font>
    <font>
      <name val="Arial"/>
      <color rgb="006B7280"/>
    </font>
  </fonts>
  <fills count="5">
    <fill>
      <patternFill/>
    </fill>
    <fill>
      <patternFill patternType="gray125"/>
    </fill>
    <fill>
      <patternFill patternType="solid">
        <fgColor rgb="001A1A2E"/>
      </patternFill>
    </fill>
    <fill>
      <patternFill patternType="solid">
        <fgColor rgb="000D9488"/>
      </patternFill>
    </fill>
    <fill>
      <patternFill patternType="solid">
        <fgColor rgb="00F0FDF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3" fillId="2" borderId="0" applyAlignment="1" pivotButton="0" quotePrefix="0" xfId="0">
      <alignment horizontal="right"/>
    </xf>
    <xf numFmtId="0" fontId="4" fillId="0" borderId="0" pivotButton="0" quotePrefix="0" xfId="0"/>
    <xf numFmtId="164" fontId="5" fillId="0" borderId="0" applyAlignment="1" pivotButton="0" quotePrefix="0" xfId="0">
      <alignment horizontal="right"/>
    </xf>
    <xf numFmtId="165" fontId="5" fillId="0" borderId="0" applyAlignment="1" pivotButton="0" quotePrefix="0" xfId="0">
      <alignment horizontal="right"/>
    </xf>
    <xf numFmtId="0" fontId="3" fillId="3" borderId="0" pivotButton="0" quotePrefix="0" xfId="0"/>
    <xf numFmtId="0" fontId="0" fillId="3" borderId="0" pivotButton="0" quotePrefix="0" xfId="0"/>
    <xf numFmtId="166" fontId="5" fillId="0" borderId="0" applyAlignment="1" pivotButton="0" quotePrefix="0" xfId="0">
      <alignment horizontal="right"/>
    </xf>
    <xf numFmtId="2" fontId="5" fillId="0" borderId="0" applyAlignment="1" pivotButton="0" quotePrefix="0" xfId="0">
      <alignment horizontal="right"/>
    </xf>
    <xf numFmtId="165" fontId="6" fillId="0" borderId="0" applyAlignment="1" pivotButton="0" quotePrefix="0" xfId="0">
      <alignment horizontal="right"/>
    </xf>
    <xf numFmtId="0" fontId="7" fillId="4" borderId="0" pivotButton="0" quotePrefix="0" xfId="0"/>
    <xf numFmtId="165" fontId="8" fillId="4" borderId="0" applyAlignment="1" pivotButton="0" quotePrefix="0" xfId="0">
      <alignment horizontal="right"/>
    </xf>
    <xf numFmtId="167" fontId="5" fillId="0" borderId="0" applyAlignment="1" pivotButton="0" quotePrefix="0" xfId="0">
      <alignment horizontal="right"/>
    </xf>
    <xf numFmtId="164" fontId="9" fillId="0" borderId="0" applyAlignment="1" pivotButton="0" quotePrefix="0" xfId="0">
      <alignment horizontal="right"/>
    </xf>
    <xf numFmtId="166" fontId="8" fillId="4" borderId="0" applyAlignment="1" pivotButton="0" quotePrefix="0" xfId="0">
      <alignment horizontal="right"/>
    </xf>
    <xf numFmtId="0" fontId="6" fillId="0" borderId="0" applyAlignment="1" pivotButton="0" quotePrefix="0" xfId="0">
      <alignment horizontal="left"/>
    </xf>
    <xf numFmtId="166" fontId="6" fillId="0" borderId="0" applyAlignment="1" pivotButton="0" quotePrefix="0" xfId="0">
      <alignment horizontal="right"/>
    </xf>
    <xf numFmtId="0" fontId="7" fillId="0" borderId="0" pivotButton="0" quotePrefix="0" xfId="0"/>
    <xf numFmtId="166" fontId="10" fillId="0" borderId="0" applyAlignment="1" pivotButton="0" quotePrefix="0" xfId="0">
      <alignment horizontal="right"/>
    </xf>
    <xf numFmtId="165" fontId="9" fillId="0" borderId="0" applyAlignment="1" pivotButton="0" quotePrefix="0" xfId="0">
      <alignment horizontal="right"/>
    </xf>
    <xf numFmtId="166" fontId="9" fillId="0" borderId="0" applyAlignment="1" pivotButton="0" quotePrefix="0" xfId="0">
      <alignment horizontal="right"/>
    </xf>
    <xf numFmtId="166" fontId="8" fillId="0" borderId="0" applyAlignment="1" pivotButton="0" quotePrefix="0" xfId="0">
      <alignment horizontal="right"/>
    </xf>
    <xf numFmtId="166" fontId="11" fillId="0" borderId="0" applyAlignment="1" pivotButton="0" quotePrefix="0" xfId="0">
      <alignment horizontal="right"/>
    </xf>
    <xf numFmtId="164" fontId="6" fillId="0" borderId="0" applyAlignment="1" pivotButton="0" quotePrefix="0" xfId="0">
      <alignment horizontal="right"/>
    </xf>
    <xf numFmtId="0" fontId="11" fillId="0" borderId="0" applyAlignment="1" pivotButton="0" quotePrefix="0" xfId="0">
      <alignment horizontal="left"/>
    </xf>
    <xf numFmtId="164" fontId="8" fillId="0" borderId="0" applyAlignment="1" pivotButton="0" quotePrefix="0" xfId="0">
      <alignment horizontal="right"/>
    </xf>
    <xf numFmtId="167" fontId="8" fillId="0" borderId="0" applyAlignment="1" pivotButton="0" quotePrefix="0" xfId="0">
      <alignment horizontal="right"/>
    </xf>
    <xf numFmtId="168" fontId="6" fillId="0" borderId="0" applyAlignment="1" pivotButton="0" quotePrefix="0" xfId="0">
      <alignment horizontal="right"/>
    </xf>
    <xf numFmtId="167" fontId="9" fillId="0" borderId="0" applyAlignment="1" pivotButton="0" quotePrefix="0" xfId="0">
      <alignment horizontal="right"/>
    </xf>
    <xf numFmtId="164" fontId="11" fillId="0" borderId="0" applyAlignment="1" pivotButton="0" quotePrefix="0" xfId="0">
      <alignment horizontal="right"/>
    </xf>
    <xf numFmtId="164" fontId="8" fillId="4" borderId="0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selection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</cols>
  <sheetData>
    <row r="1">
      <c r="A1" s="1" t="inlineStr">
        <is>
          <t>ElderCare VN — Mô hình tài chính động · ASSUMPTIONS (giả định)</t>
        </is>
      </c>
    </row>
    <row r="2">
      <c r="A2" s="2" t="inlineStr">
        <is>
          <t>Ô chữ XANH = giả định nhập tay — đổi để chạy kịch bản; mọi sheet khác tính lại tự động. Đơn vị ghi trong nhãn. Số khớp 100% phần Tài chính (Phiên 1).</t>
        </is>
      </c>
    </row>
    <row r="4">
      <c r="A4" s="3" t="inlineStr">
        <is>
          <t>Giả định vận hành</t>
        </is>
      </c>
      <c r="B4" s="4" t="inlineStr">
        <is>
          <t>Năm 1</t>
        </is>
      </c>
      <c r="C4" s="4" t="inlineStr">
        <is>
          <t>Năm 2</t>
        </is>
      </c>
      <c r="D4" s="4" t="inlineStr">
        <is>
          <t>Năm 3</t>
        </is>
      </c>
      <c r="E4" s="4" t="inlineStr">
        <is>
          <t>Năm 4</t>
        </is>
      </c>
      <c r="F4" s="4" t="inlineStr">
        <is>
          <t>Năm 5</t>
        </is>
      </c>
    </row>
    <row r="5">
      <c r="A5" s="5" t="inlineStr">
        <is>
          <t>Gia đình trả phí (nghìn)</t>
        </is>
      </c>
      <c r="B5" s="6" t="n">
        <v>6</v>
      </c>
      <c r="C5" s="6" t="n">
        <v>30</v>
      </c>
      <c r="D5" s="6" t="n">
        <v>110</v>
      </c>
      <c r="E5" s="6" t="n">
        <v>280</v>
      </c>
      <c r="F5" s="6" t="n">
        <v>520</v>
      </c>
    </row>
    <row r="6">
      <c r="A6" s="5" t="inlineStr">
        <is>
          <t>Net ARPU (nghìn VND/tháng)</t>
        </is>
      </c>
      <c r="B6" s="6" t="n">
        <v>110</v>
      </c>
      <c r="C6" s="6" t="n">
        <v>125</v>
      </c>
      <c r="D6" s="6" t="n">
        <v>140</v>
      </c>
      <c r="E6" s="6" t="n">
        <v>150</v>
      </c>
      <c r="F6" s="6" t="n">
        <v>152</v>
      </c>
    </row>
    <row r="7">
      <c r="A7" s="5" t="inlineStr">
        <is>
          <t>Gross margin (%)</t>
        </is>
      </c>
      <c r="B7" s="7" t="n">
        <v>0.52</v>
      </c>
      <c r="C7" s="7" t="n">
        <v>0.5600000000000001</v>
      </c>
      <c r="D7" s="7" t="n">
        <v>0.6</v>
      </c>
      <c r="E7" s="7" t="n">
        <v>0.62</v>
      </c>
      <c r="F7" s="7" t="n">
        <v>0.64</v>
      </c>
    </row>
    <row r="9">
      <c r="A9" s="8" t="inlineStr">
        <is>
          <t>Chi phí hoạt động (tỷ VND)</t>
        </is>
      </c>
      <c r="B9" s="9" t="n"/>
      <c r="C9" s="9" t="n"/>
      <c r="D9" s="9" t="n"/>
      <c r="E9" s="9" t="n"/>
      <c r="F9" s="9" t="n"/>
    </row>
    <row r="10">
      <c r="A10" s="5" t="inlineStr">
        <is>
          <t>Nhân sự (lương loaded)</t>
        </is>
      </c>
      <c r="B10" s="10" t="n">
        <v>12.8</v>
      </c>
      <c r="C10" s="10" t="n">
        <v>37.4</v>
      </c>
      <c r="D10" s="10" t="n">
        <v>98</v>
      </c>
      <c r="E10" s="10" t="n">
        <v>201.6</v>
      </c>
      <c r="F10" s="10" t="n">
        <v>351.5</v>
      </c>
    </row>
    <row r="11">
      <c r="A11" s="5" t="inlineStr">
        <is>
          <t>Marketing (S&amp;M)</t>
        </is>
      </c>
      <c r="B11" s="10" t="n">
        <v>11</v>
      </c>
      <c r="C11" s="10" t="n">
        <v>30</v>
      </c>
      <c r="D11" s="10" t="n">
        <v>64</v>
      </c>
      <c r="E11" s="10" t="n">
        <v>110</v>
      </c>
      <c r="F11" s="10" t="n">
        <v>130</v>
      </c>
    </row>
    <row r="12">
      <c r="A12" s="5" t="inlineStr">
        <is>
          <t>Công nghệ (cloud/AI/license)</t>
        </is>
      </c>
      <c r="B12" s="10" t="n">
        <v>4</v>
      </c>
      <c r="C12" s="10" t="n">
        <v>8</v>
      </c>
      <c r="D12" s="10" t="n">
        <v>18</v>
      </c>
      <c r="E12" s="10" t="n">
        <v>32</v>
      </c>
      <c r="F12" s="10" t="n">
        <v>45</v>
      </c>
    </row>
    <row r="13">
      <c r="A13" s="5" t="inlineStr">
        <is>
          <t>Vận hành &amp; G&amp;A</t>
        </is>
      </c>
      <c r="B13" s="10" t="n">
        <v>5</v>
      </c>
      <c r="C13" s="10" t="n">
        <v>12</v>
      </c>
      <c r="D13" s="10" t="n">
        <v>28</v>
      </c>
      <c r="E13" s="10" t="n">
        <v>45</v>
      </c>
      <c r="F13" s="10" t="n">
        <v>50</v>
      </c>
    </row>
    <row r="14">
      <c r="A14" s="5" t="inlineStr">
        <is>
          <t>Khấu hao (D&amp;A)</t>
        </is>
      </c>
      <c r="B14" s="10" t="n">
        <v>1</v>
      </c>
      <c r="C14" s="10" t="n">
        <v>3</v>
      </c>
      <c r="D14" s="10" t="n">
        <v>7</v>
      </c>
      <c r="E14" s="10" t="n">
        <v>14</v>
      </c>
      <c r="F14" s="10" t="n">
        <v>22</v>
      </c>
    </row>
    <row r="16">
      <c r="A16" s="8" t="inlineStr">
        <is>
          <t>Unit economics (steady-state)</t>
        </is>
      </c>
      <c r="B16" s="9" t="n"/>
      <c r="C16" s="9" t="n"/>
      <c r="D16" s="9" t="n"/>
      <c r="E16" s="9" t="n"/>
      <c r="F16" s="9" t="n"/>
    </row>
    <row r="17">
      <c r="A17" s="5" t="inlineStr">
        <is>
          <t>Net ARPU/tháng (nghìn VND)</t>
        </is>
      </c>
      <c r="B17" s="6" t="n">
        <v>150</v>
      </c>
    </row>
    <row r="18">
      <c r="A18" s="5" t="inlineStr">
        <is>
          <t>GM blended (%)</t>
        </is>
      </c>
      <c r="B18" s="7" t="n">
        <v>0.62</v>
      </c>
    </row>
    <row r="19">
      <c r="A19" s="5" t="inlineStr">
        <is>
          <t>CAC blended (nghìn VND)</t>
        </is>
      </c>
      <c r="B19" s="6" t="n">
        <v>480</v>
      </c>
    </row>
    <row r="20">
      <c r="A20" s="5" t="inlineStr">
        <is>
          <t>Churn/tháng (%)</t>
        </is>
      </c>
      <c r="B20" s="7" t="n">
        <v>0.033</v>
      </c>
    </row>
    <row r="22">
      <c r="A22" s="8" t="inlineStr">
        <is>
          <t>Tài chính &amp; định giá</t>
        </is>
      </c>
      <c r="B22" s="9" t="n"/>
      <c r="C22" s="9" t="n"/>
      <c r="D22" s="9" t="n"/>
      <c r="E22" s="9" t="n"/>
      <c r="F22" s="9" t="n"/>
    </row>
    <row r="23">
      <c r="A23" s="5" t="inlineStr">
        <is>
          <t>Tỷ giá (tỷ VND / triệu USD)</t>
        </is>
      </c>
      <c r="B23" s="10" t="n">
        <v>25.5</v>
      </c>
    </row>
    <row r="24">
      <c r="A24" s="5" t="inlineStr">
        <is>
          <t>Thuế TNDN (%)</t>
        </is>
      </c>
      <c r="B24" s="7" t="n">
        <v>0.2</v>
      </c>
    </row>
    <row r="25">
      <c r="A25" s="5" t="inlineStr">
        <is>
          <t>Rf — TPCP VN 10 năm (%)</t>
        </is>
      </c>
      <c r="B25" s="7" t="n">
        <v>0.045</v>
      </c>
    </row>
    <row r="26">
      <c r="A26" s="5" t="inlineStr">
        <is>
          <t>ERP Việt Nam — Damodaran (%)</t>
        </is>
      </c>
      <c r="B26" s="7" t="n">
        <v>0.0813</v>
      </c>
    </row>
    <row r="27">
      <c r="A27" s="5" t="inlineStr">
        <is>
          <t>Beta (Healthcare Info &amp; Tech)</t>
        </is>
      </c>
      <c r="B27" s="11" t="n">
        <v>1.11</v>
      </c>
    </row>
    <row r="28">
      <c r="A28" s="5" t="inlineStr">
        <is>
          <t>Ke = Rf + Beta × ERP (%)</t>
        </is>
      </c>
      <c r="B28" s="12">
        <f>B25+B27*B26</f>
        <v/>
      </c>
    </row>
    <row r="29">
      <c r="A29" s="5" t="inlineStr">
        <is>
          <t>Phần bù quy mô/giai đoạn (%)</t>
        </is>
      </c>
      <c r="B29" s="7" t="n">
        <v>0.065</v>
      </c>
    </row>
    <row r="30">
      <c r="A30" s="13" t="inlineStr">
        <is>
          <t>WACC / suất chiết khấu (%)</t>
        </is>
      </c>
      <c r="B30" s="14">
        <f>B28+B29</f>
        <v/>
      </c>
    </row>
    <row r="31">
      <c r="A31" s="5" t="inlineStr">
        <is>
          <t>Exit multiple (× DT Y5)</t>
        </is>
      </c>
      <c r="B31" s="15" t="n">
        <v>5</v>
      </c>
    </row>
  </sheetData>
  <mergeCells count="2">
    <mergeCell ref="A2:F2"/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30" customWidth="1" min="3" max="3"/>
    <col width="14" customWidth="1" min="4" max="4"/>
    <col width="14" customWidth="1" min="5" max="5"/>
    <col width="14" customWidth="1" min="6" max="6"/>
  </cols>
  <sheetData>
    <row r="1">
      <c r="A1" s="1" t="inlineStr">
        <is>
          <t>Doanh thu — build từ cohort &amp; 5 trụ cột</t>
        </is>
      </c>
    </row>
    <row r="2">
      <c r="A2" s="2" t="inlineStr">
        <is>
          <t>Doanh thu thuần = Gia đình × ARPU × 12. Tách 5 trụ cột theo % cơ cấu Y5 (ước tính nội bộ). Link XANH LÁ kéo từ sheet Assumptions.</t>
        </is>
      </c>
    </row>
    <row r="4">
      <c r="A4" s="3" t="inlineStr">
        <is>
          <t>Cohort</t>
        </is>
      </c>
      <c r="B4" s="4" t="inlineStr">
        <is>
          <t>Năm 1</t>
        </is>
      </c>
      <c r="C4" s="4" t="inlineStr">
        <is>
          <t>Năm 2</t>
        </is>
      </c>
      <c r="D4" s="4" t="inlineStr">
        <is>
          <t>Năm 3</t>
        </is>
      </c>
      <c r="E4" s="4" t="inlineStr">
        <is>
          <t>Năm 4</t>
        </is>
      </c>
      <c r="F4" s="4" t="inlineStr">
        <is>
          <t>Năm 5</t>
        </is>
      </c>
    </row>
    <row r="5">
      <c r="A5" s="5" t="inlineStr">
        <is>
          <t>Gia đình trả phí (nghìn)</t>
        </is>
      </c>
      <c r="B5" s="16">
        <f>Assumptions!B5</f>
        <v/>
      </c>
      <c r="C5" s="16">
        <f>Assumptions!C5</f>
        <v/>
      </c>
      <c r="D5" s="16">
        <f>Assumptions!D5</f>
        <v/>
      </c>
      <c r="E5" s="16">
        <f>Assumptions!E5</f>
        <v/>
      </c>
      <c r="F5" s="16">
        <f>Assumptions!F5</f>
        <v/>
      </c>
    </row>
    <row r="6">
      <c r="A6" s="5" t="inlineStr">
        <is>
          <t>Net ARPU (nghìn VND/tháng)</t>
        </is>
      </c>
      <c r="B6" s="16">
        <f>Assumptions!B6</f>
        <v/>
      </c>
      <c r="C6" s="16">
        <f>Assumptions!C6</f>
        <v/>
      </c>
      <c r="D6" s="16">
        <f>Assumptions!D6</f>
        <v/>
      </c>
      <c r="E6" s="16">
        <f>Assumptions!E6</f>
        <v/>
      </c>
      <c r="F6" s="16">
        <f>Assumptions!F6</f>
        <v/>
      </c>
    </row>
    <row r="7">
      <c r="A7" s="13" t="inlineStr">
        <is>
          <t>Doanh thu thuần (tỷ VND)</t>
        </is>
      </c>
      <c r="B7" s="17">
        <f>B5*B6*12/1000</f>
        <v/>
      </c>
      <c r="C7" s="17">
        <f>C5*C6*12/1000</f>
        <v/>
      </c>
      <c r="D7" s="17">
        <f>D5*D6*12/1000</f>
        <v/>
      </c>
      <c r="E7" s="17">
        <f>E5*E6*12/1000</f>
        <v/>
      </c>
      <c r="F7" s="17">
        <f>F5*F6*12/1000</f>
        <v/>
      </c>
    </row>
    <row r="9">
      <c r="A9" s="8" t="inlineStr">
        <is>
          <t>Tách 5 trụ cột (% cơ cấu DT net — Y5)</t>
        </is>
      </c>
      <c r="B9" s="9" t="n"/>
      <c r="C9" s="9" t="n"/>
      <c r="D9" s="9" t="n"/>
      <c r="E9" s="9" t="n"/>
      <c r="F9" s="9" t="n"/>
    </row>
    <row r="10">
      <c r="A10" s="3" t="inlineStr">
        <is>
          <t>Trụ cột</t>
        </is>
      </c>
      <c r="B10" s="4" t="inlineStr">
        <is>
          <t>% DT</t>
        </is>
      </c>
      <c r="C10" s="4" t="inlineStr">
        <is>
          <t>Take-rate / cơ chế</t>
        </is>
      </c>
      <c r="D10" s="4" t="inlineStr">
        <is>
          <t>Gross margin</t>
        </is>
      </c>
      <c r="E10" s="4" t="inlineStr">
        <is>
          <t>DT Y5 (tỷ)</t>
        </is>
      </c>
      <c r="F10" s="4" t="inlineStr"/>
    </row>
    <row r="11">
      <c r="A11" s="5" t="inlineStr">
        <is>
          <t>CareConnect (điều dưỡng)</t>
        </is>
      </c>
      <c r="B11" s="7" t="n">
        <v>0.36</v>
      </c>
      <c r="C11" s="18" t="inlineStr">
        <is>
          <t>Hoa hồng 20% GMV</t>
        </is>
      </c>
      <c r="D11" s="7" t="n">
        <v>0.85</v>
      </c>
      <c r="E11" s="19">
        <f>B11*F7</f>
        <v/>
      </c>
    </row>
    <row r="12">
      <c r="A12" s="5" t="inlineStr">
        <is>
          <t>Khám &amp; Telehealth</t>
        </is>
      </c>
      <c r="B12" s="7" t="n">
        <v>0.25</v>
      </c>
      <c r="C12" s="18" t="inlineStr">
        <is>
          <t>Sub 299–599k + 40% phí khám</t>
        </is>
      </c>
      <c r="D12" s="7" t="n">
        <v>0.6</v>
      </c>
      <c r="E12" s="19">
        <f>B12*F7</f>
        <v/>
      </c>
    </row>
    <row r="13">
      <c r="A13" s="5" t="inlineStr">
        <is>
          <t>MedFin (tài chính y tế)</t>
        </is>
      </c>
      <c r="B13" s="7" t="n">
        <v>0.2</v>
      </c>
      <c r="C13" s="18" t="inlineStr">
        <is>
          <t>NIM 6–9% + hoa hồng BH</t>
        </is>
      </c>
      <c r="D13" s="7" t="n">
        <v>0.55</v>
      </c>
      <c r="E13" s="19">
        <f>B13*F7</f>
        <v/>
      </c>
    </row>
    <row r="14">
      <c r="A14" s="5" t="inlineStr">
        <is>
          <t>CareSense (thiết bị)</t>
        </is>
      </c>
      <c r="B14" s="7" t="n">
        <v>0.12</v>
      </c>
      <c r="C14" s="18" t="inlineStr">
        <is>
          <t>Thuê 99–199k/th + SaaS</t>
        </is>
      </c>
      <c r="D14" s="7" t="n">
        <v>0.45</v>
      </c>
      <c r="E14" s="19">
        <f>B14*F7</f>
        <v/>
      </c>
    </row>
    <row r="15">
      <c r="A15" s="5" t="inlineStr">
        <is>
          <t>Dược &amp; thiết bị</t>
        </is>
      </c>
      <c r="B15" s="7" t="n">
        <v>0.07000000000000001</v>
      </c>
      <c r="C15" s="18" t="inlineStr">
        <is>
          <t>Markup 12–18%</t>
        </is>
      </c>
      <c r="D15" s="7" t="n">
        <v>0.25</v>
      </c>
      <c r="E15" s="19">
        <f>B15*F7</f>
        <v/>
      </c>
    </row>
    <row r="16">
      <c r="A16" s="13" t="inlineStr">
        <is>
          <t>Tổng / blended</t>
        </is>
      </c>
      <c r="B16" s="14">
        <f>SUM(B11:B15)</f>
        <v/>
      </c>
      <c r="D16" s="14">
        <f>SUMPRODUCT(B11:B15,D11:D15)</f>
        <v/>
      </c>
      <c r="E16" s="17">
        <f>SUM(E11:E15)</f>
        <v/>
      </c>
    </row>
    <row r="18">
      <c r="A18" s="2" t="inlineStr">
        <is>
          <t>Kiểm tra: tổng % = 100% và tổng DT trụ cột = Doanh thu thuần Y5 (~948 tỷ). GM blended trụ cột ≈ 62–64% khớp Assumptions.</t>
        </is>
      </c>
    </row>
  </sheetData>
  <mergeCells count="3">
    <mergeCell ref="A2:F2"/>
    <mergeCell ref="A1:F1"/>
    <mergeCell ref="A18:F1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0"/>
  <sheetViews>
    <sheetView workbookViewId="0">
      <selection activeCell="A1" sqref="A1"/>
    </sheetView>
  </sheetViews>
  <sheetFormatPr baseColWidth="8" defaultRowHeight="15"/>
  <cols>
    <col width="26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</cols>
  <sheetData>
    <row r="1">
      <c r="A1" s="1" t="inlineStr">
        <is>
          <t>Dự phóng P&amp;L 5 năm (tỷ VND)</t>
        </is>
      </c>
    </row>
    <row r="2">
      <c r="A2" s="2" t="inlineStr">
        <is>
          <t>Link XANH LÁ từ Assumptions / Revenue build. EBITDA, EBIT, thuế (NOL), lợi nhuận = công thức đen. Thuế ≈ 0 khi lỗ lũy kế còn âm.</t>
        </is>
      </c>
    </row>
    <row r="4">
      <c r="A4" s="3" t="inlineStr">
        <is>
          <t>Chỉ tiêu (tỷ VND)</t>
        </is>
      </c>
      <c r="B4" s="4" t="inlineStr">
        <is>
          <t>Năm 1</t>
        </is>
      </c>
      <c r="C4" s="4" t="inlineStr">
        <is>
          <t>Năm 2</t>
        </is>
      </c>
      <c r="D4" s="4" t="inlineStr">
        <is>
          <t>Năm 3</t>
        </is>
      </c>
      <c r="E4" s="4" t="inlineStr">
        <is>
          <t>Năm 4</t>
        </is>
      </c>
      <c r="F4" s="4" t="inlineStr">
        <is>
          <t>Năm 5</t>
        </is>
      </c>
    </row>
    <row r="5">
      <c r="A5" s="20" t="inlineStr">
        <is>
          <t>Doanh thu thuần</t>
        </is>
      </c>
      <c r="B5" s="21">
        <f>'Revenue build'!B7</f>
        <v/>
      </c>
      <c r="C5" s="21">
        <f>'Revenue build'!C7</f>
        <v/>
      </c>
      <c r="D5" s="21">
        <f>'Revenue build'!D7</f>
        <v/>
      </c>
      <c r="E5" s="21">
        <f>'Revenue build'!E7</f>
        <v/>
      </c>
      <c r="F5" s="21">
        <f>'Revenue build'!F7</f>
        <v/>
      </c>
    </row>
    <row r="6">
      <c r="A6" s="5" t="inlineStr">
        <is>
          <t>Gross margin (%)</t>
        </is>
      </c>
      <c r="B6" s="22">
        <f>Assumptions!B7</f>
        <v/>
      </c>
      <c r="C6" s="22">
        <f>Assumptions!C7</f>
        <v/>
      </c>
      <c r="D6" s="22">
        <f>Assumptions!D7</f>
        <v/>
      </c>
      <c r="E6" s="22">
        <f>Assumptions!E7</f>
        <v/>
      </c>
      <c r="F6" s="22">
        <f>Assumptions!F7</f>
        <v/>
      </c>
    </row>
    <row r="7">
      <c r="A7" s="5" t="inlineStr">
        <is>
          <t>Giá vốn (COGS)</t>
        </is>
      </c>
      <c r="B7" s="19">
        <f>B5*(1-B6)</f>
        <v/>
      </c>
      <c r="C7" s="19">
        <f>C5*(1-C6)</f>
        <v/>
      </c>
      <c r="D7" s="19">
        <f>D5*(1-D6)</f>
        <v/>
      </c>
      <c r="E7" s="19">
        <f>E5*(1-E6)</f>
        <v/>
      </c>
      <c r="F7" s="19">
        <f>F5*(1-F6)</f>
        <v/>
      </c>
    </row>
    <row r="8">
      <c r="A8" s="13" t="inlineStr">
        <is>
          <t>Lợi nhuận gộp</t>
        </is>
      </c>
      <c r="B8" s="17">
        <f>B5*B6</f>
        <v/>
      </c>
      <c r="C8" s="17">
        <f>C5*C6</f>
        <v/>
      </c>
      <c r="D8" s="17">
        <f>D5*D6</f>
        <v/>
      </c>
      <c r="E8" s="17">
        <f>E5*E6</f>
        <v/>
      </c>
      <c r="F8" s="17">
        <f>F5*F6</f>
        <v/>
      </c>
    </row>
    <row r="9">
      <c r="A9" s="5" t="inlineStr">
        <is>
          <t xml:space="preserve">   — Nhân sự</t>
        </is>
      </c>
      <c r="B9" s="23">
        <f>Assumptions!B10</f>
        <v/>
      </c>
      <c r="C9" s="23">
        <f>Assumptions!C10</f>
        <v/>
      </c>
      <c r="D9" s="23">
        <f>Assumptions!D10</f>
        <v/>
      </c>
      <c r="E9" s="23">
        <f>Assumptions!E10</f>
        <v/>
      </c>
      <c r="F9" s="23">
        <f>Assumptions!F10</f>
        <v/>
      </c>
    </row>
    <row r="10">
      <c r="A10" s="5" t="inlineStr">
        <is>
          <t xml:space="preserve">   — Marketing</t>
        </is>
      </c>
      <c r="B10" s="23">
        <f>Assumptions!B11</f>
        <v/>
      </c>
      <c r="C10" s="23">
        <f>Assumptions!C11</f>
        <v/>
      </c>
      <c r="D10" s="23">
        <f>Assumptions!D11</f>
        <v/>
      </c>
      <c r="E10" s="23">
        <f>Assumptions!E11</f>
        <v/>
      </c>
      <c r="F10" s="23">
        <f>Assumptions!F11</f>
        <v/>
      </c>
    </row>
    <row r="11">
      <c r="A11" s="5" t="inlineStr">
        <is>
          <t xml:space="preserve">   — Công nghệ</t>
        </is>
      </c>
      <c r="B11" s="23">
        <f>Assumptions!B12</f>
        <v/>
      </c>
      <c r="C11" s="23">
        <f>Assumptions!C12</f>
        <v/>
      </c>
      <c r="D11" s="23">
        <f>Assumptions!D12</f>
        <v/>
      </c>
      <c r="E11" s="23">
        <f>Assumptions!E12</f>
        <v/>
      </c>
      <c r="F11" s="23">
        <f>Assumptions!F12</f>
        <v/>
      </c>
    </row>
    <row r="12">
      <c r="A12" s="5" t="inlineStr">
        <is>
          <t xml:space="preserve">   — Vận hành &amp; G&amp;A</t>
        </is>
      </c>
      <c r="B12" s="23">
        <f>Assumptions!B13</f>
        <v/>
      </c>
      <c r="C12" s="23">
        <f>Assumptions!C13</f>
        <v/>
      </c>
      <c r="D12" s="23">
        <f>Assumptions!D13</f>
        <v/>
      </c>
      <c r="E12" s="23">
        <f>Assumptions!E13</f>
        <v/>
      </c>
      <c r="F12" s="23">
        <f>Assumptions!F13</f>
        <v/>
      </c>
    </row>
    <row r="13">
      <c r="A13" s="20" t="inlineStr">
        <is>
          <t>Tổng OpEx</t>
        </is>
      </c>
      <c r="B13" s="24">
        <f>SUM(B9:B12)</f>
        <v/>
      </c>
      <c r="C13" s="24">
        <f>SUM(C9:C12)</f>
        <v/>
      </c>
      <c r="D13" s="24">
        <f>SUM(D9:D12)</f>
        <v/>
      </c>
      <c r="E13" s="24">
        <f>SUM(E9:E12)</f>
        <v/>
      </c>
      <c r="F13" s="24">
        <f>SUM(F9:F12)</f>
        <v/>
      </c>
    </row>
    <row r="14">
      <c r="A14" s="13" t="inlineStr">
        <is>
          <t>EBITDA</t>
        </is>
      </c>
      <c r="B14" s="17">
        <f>B8-B13</f>
        <v/>
      </c>
      <c r="C14" s="17">
        <f>C8-C13</f>
        <v/>
      </c>
      <c r="D14" s="17">
        <f>D8-D13</f>
        <v/>
      </c>
      <c r="E14" s="17">
        <f>E8-E13</f>
        <v/>
      </c>
      <c r="F14" s="17">
        <f>F8-F13</f>
        <v/>
      </c>
    </row>
    <row r="15">
      <c r="A15" s="5" t="inlineStr">
        <is>
          <t xml:space="preserve">   Khấu hao (D&amp;A)</t>
        </is>
      </c>
      <c r="B15" s="23">
        <f>Assumptions!B14</f>
        <v/>
      </c>
      <c r="C15" s="23">
        <f>Assumptions!C14</f>
        <v/>
      </c>
      <c r="D15" s="23">
        <f>Assumptions!D14</f>
        <v/>
      </c>
      <c r="E15" s="23">
        <f>Assumptions!E14</f>
        <v/>
      </c>
      <c r="F15" s="23">
        <f>Assumptions!F14</f>
        <v/>
      </c>
    </row>
    <row r="16">
      <c r="A16" s="20" t="inlineStr">
        <is>
          <t>EBIT</t>
        </is>
      </c>
      <c r="B16" s="24">
        <f>B14-B15</f>
        <v/>
      </c>
      <c r="C16" s="24">
        <f>C14-C15</f>
        <v/>
      </c>
      <c r="D16" s="24">
        <f>D14-D15</f>
        <v/>
      </c>
      <c r="E16" s="24">
        <f>E14-E15</f>
        <v/>
      </c>
      <c r="F16" s="24">
        <f>F14-F15</f>
        <v/>
      </c>
    </row>
    <row r="17">
      <c r="A17" s="5" t="inlineStr">
        <is>
          <t xml:space="preserve">   EBIT lũy kế</t>
        </is>
      </c>
      <c r="B17" s="25">
        <f>B16</f>
        <v/>
      </c>
      <c r="C17" s="25">
        <f>B17+C16</f>
        <v/>
      </c>
      <c r="D17" s="25">
        <f>C17+D16</f>
        <v/>
      </c>
      <c r="E17" s="25">
        <f>D17+E16</f>
        <v/>
      </c>
      <c r="F17" s="25">
        <f>E17+F16</f>
        <v/>
      </c>
    </row>
    <row r="18">
      <c r="A18" s="5" t="inlineStr">
        <is>
          <t xml:space="preserve">   Thuế TNDN (NOL)</t>
        </is>
      </c>
      <c r="B18" s="19">
        <f>IF(B17&gt;0,B16*Assumptions!$B$24,0)</f>
        <v/>
      </c>
      <c r="C18" s="19">
        <f>IF(C17&gt;0,C16*Assumptions!$B$24,0)</f>
        <v/>
      </c>
      <c r="D18" s="19">
        <f>IF(D17&gt;0,D16*Assumptions!$B$24,0)</f>
        <v/>
      </c>
      <c r="E18" s="19">
        <f>IF(E17&gt;0,E16*Assumptions!$B$24,0)</f>
        <v/>
      </c>
      <c r="F18" s="19">
        <f>IF(F17&gt;0,F16*Assumptions!$B$24,0)</f>
        <v/>
      </c>
    </row>
    <row r="19">
      <c r="A19" s="13" t="inlineStr">
        <is>
          <t>Lợi nhuận sau thuế</t>
        </is>
      </c>
      <c r="B19" s="17">
        <f>B16-B18</f>
        <v/>
      </c>
      <c r="C19" s="17">
        <f>C16-C18</f>
        <v/>
      </c>
      <c r="D19" s="17">
        <f>D16-D18</f>
        <v/>
      </c>
      <c r="E19" s="17">
        <f>E16-E18</f>
        <v/>
      </c>
      <c r="F19" s="17">
        <f>F16-F18</f>
        <v/>
      </c>
    </row>
    <row r="20">
      <c r="A20" s="5" t="inlineStr">
        <is>
          <t xml:space="preserve">   Lỗ lũy kế</t>
        </is>
      </c>
      <c r="B20" s="25">
        <f>B19</f>
        <v/>
      </c>
      <c r="C20" s="25">
        <f>B20+C19</f>
        <v/>
      </c>
      <c r="D20" s="25">
        <f>C20+D19</f>
        <v/>
      </c>
      <c r="E20" s="25">
        <f>D20+E19</f>
        <v/>
      </c>
      <c r="F20" s="25">
        <f>E20+F19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26" customWidth="1" min="3" max="3"/>
  </cols>
  <sheetData>
    <row r="1">
      <c r="A1" s="1" t="inlineStr">
        <is>
          <t>Unit economics (trên 1 gia đình trả phí)</t>
        </is>
      </c>
    </row>
    <row r="2">
      <c r="A2" s="2" t="inlineStr">
        <is>
          <t>Tất cả tính từ Assumptions (link XANH LÁ) → công thức đen. LTV theo lợi nhuận gộp (thận trọng).</t>
        </is>
      </c>
    </row>
    <row r="4">
      <c r="A4" s="5" t="inlineStr">
        <is>
          <t>Net ARPU/tháng (nghìn VND)</t>
        </is>
      </c>
      <c r="B4" s="16">
        <f>Assumptions!B17</f>
        <v/>
      </c>
    </row>
    <row r="5">
      <c r="A5" s="5" t="inlineStr">
        <is>
          <t>GM blended (%)</t>
        </is>
      </c>
      <c r="B5" s="22">
        <f>Assumptions!B18</f>
        <v/>
      </c>
    </row>
    <row r="6">
      <c r="A6" s="5" t="inlineStr">
        <is>
          <t>Lợi nhuận gộp/tháng (nghìn)</t>
        </is>
      </c>
      <c r="B6" s="26">
        <f>B4*B5</f>
        <v/>
      </c>
      <c r="C6" s="27" t="inlineStr">
        <is>
          <t>ARPU × GM</t>
        </is>
      </c>
    </row>
    <row r="7">
      <c r="A7" s="5" t="inlineStr">
        <is>
          <t>CAC blended (nghìn VND)</t>
        </is>
      </c>
      <c r="B7" s="16">
        <f>Assumptions!B19</f>
        <v/>
      </c>
    </row>
    <row r="8">
      <c r="A8" s="5" t="inlineStr">
        <is>
          <t>Churn/tháng (%)</t>
        </is>
      </c>
      <c r="B8" s="22">
        <f>Assumptions!B20</f>
        <v/>
      </c>
    </row>
    <row r="9">
      <c r="A9" s="5" t="inlineStr">
        <is>
          <t>Tuổi thọ KH (tháng)</t>
        </is>
      </c>
      <c r="B9" s="19">
        <f>1/B8</f>
        <v/>
      </c>
      <c r="C9" s="27" t="inlineStr">
        <is>
          <t>1 / churn</t>
        </is>
      </c>
    </row>
    <row r="10">
      <c r="A10" s="20" t="inlineStr">
        <is>
          <t>Payback CAC (tháng)</t>
        </is>
      </c>
      <c r="B10" s="24">
        <f>B7/B6</f>
        <v/>
      </c>
      <c r="C10" s="27" t="inlineStr">
        <is>
          <t>CAC / LN gộp tháng</t>
        </is>
      </c>
    </row>
    <row r="11">
      <c r="A11" s="20" t="inlineStr">
        <is>
          <t>LTV (nghìn VND)</t>
        </is>
      </c>
      <c r="B11" s="28">
        <f>B6*B9</f>
        <v/>
      </c>
      <c r="C11" s="27" t="inlineStr">
        <is>
          <t>LN gộp tháng × tuổi thọ</t>
        </is>
      </c>
    </row>
    <row r="12">
      <c r="A12" s="20" t="inlineStr">
        <is>
          <t>LTV / CAC</t>
        </is>
      </c>
      <c r="B12" s="29">
        <f>B11/B7</f>
        <v/>
      </c>
      <c r="C12" s="27" t="inlineStr">
        <is>
          <t>mục tiêu ≥ 3×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1" t="inlineStr">
        <is>
          <t>Gọi vốn 4 vòng &amp; cap table (pha loãng)</t>
        </is>
      </c>
    </row>
    <row r="2">
      <c r="A2" s="2" t="inlineStr">
        <is>
          <t>Số tiền vòng (xanh) → $M, post-money, % pha loãng tính tự động. Cap table dùng % pha loãng để cuốn chiếu qua các vòng. Link XANH LÁ = tỷ giá từ Assumptions.</t>
        </is>
      </c>
    </row>
    <row r="4">
      <c r="A4" s="3" t="inlineStr">
        <is>
          <t>Vòng</t>
        </is>
      </c>
      <c r="B4" s="4" t="inlineStr">
        <is>
          <t>Số tiền (tỷ)</t>
        </is>
      </c>
      <c r="C4" s="4" t="inlineStr">
        <is>
          <t>Quy mô ($M)</t>
        </is>
      </c>
      <c r="D4" s="4" t="inlineStr">
        <is>
          <t>Pre-money ($M)</t>
        </is>
      </c>
      <c r="E4" s="4" t="inlineStr">
        <is>
          <t>Post-money ($M)</t>
        </is>
      </c>
      <c r="F4" s="4" t="inlineStr">
        <is>
          <t>% pha loãng</t>
        </is>
      </c>
    </row>
    <row r="5">
      <c r="A5" s="20" t="inlineStr">
        <is>
          <t>Seed</t>
        </is>
      </c>
      <c r="B5" s="6" t="n">
        <v>38</v>
      </c>
      <c r="C5" s="19">
        <f>B5/Assumptions!$B$23</f>
        <v/>
      </c>
      <c r="D5" s="10" t="n">
        <v>6</v>
      </c>
      <c r="E5" s="19">
        <f>D5+C5</f>
        <v/>
      </c>
      <c r="F5" s="12">
        <f>C5/E5</f>
        <v/>
      </c>
    </row>
    <row r="6">
      <c r="A6" s="20" t="inlineStr">
        <is>
          <t>Series A</t>
        </is>
      </c>
      <c r="B6" s="6" t="n">
        <v>150</v>
      </c>
      <c r="C6" s="19">
        <f>B6/Assumptions!$B$23</f>
        <v/>
      </c>
      <c r="D6" s="10" t="n">
        <v>18</v>
      </c>
      <c r="E6" s="19">
        <f>D6+C6</f>
        <v/>
      </c>
      <c r="F6" s="12">
        <f>C6/E6</f>
        <v/>
      </c>
    </row>
    <row r="7">
      <c r="A7" s="20" t="inlineStr">
        <is>
          <t>Series B</t>
        </is>
      </c>
      <c r="B7" s="6" t="n">
        <v>510</v>
      </c>
      <c r="C7" s="19">
        <f>B7/Assumptions!$B$23</f>
        <v/>
      </c>
      <c r="D7" s="10" t="n">
        <v>70</v>
      </c>
      <c r="E7" s="19">
        <f>D7+C7</f>
        <v/>
      </c>
      <c r="F7" s="12">
        <f>C7/E7</f>
        <v/>
      </c>
    </row>
    <row r="8">
      <c r="A8" s="20" t="inlineStr">
        <is>
          <t>Series C</t>
        </is>
      </c>
      <c r="B8" s="6" t="n">
        <v>1275</v>
      </c>
      <c r="C8" s="19">
        <f>B8/Assumptions!$B$23</f>
        <v/>
      </c>
      <c r="D8" s="10" t="n">
        <v>250</v>
      </c>
      <c r="E8" s="19">
        <f>D8+C8</f>
        <v/>
      </c>
      <c r="F8" s="12">
        <f>C8/E8</f>
        <v/>
      </c>
    </row>
    <row r="11">
      <c r="A11" s="8" t="inlineStr">
        <is>
          <t>Cap table — % sở hữu sau mỗi vòng</t>
        </is>
      </c>
      <c r="B11" s="9" t="n"/>
      <c r="C11" s="9" t="n"/>
      <c r="D11" s="9" t="n"/>
      <c r="E11" s="9" t="n"/>
      <c r="F11" s="9" t="n"/>
    </row>
    <row r="12">
      <c r="A12" s="3" t="inlineStr">
        <is>
          <t>Cổ đông</t>
        </is>
      </c>
      <c r="B12" s="4" t="inlineStr">
        <is>
          <t>Khởi đầu</t>
        </is>
      </c>
      <c r="C12" s="4" t="inlineStr">
        <is>
          <t>Sau Seed</t>
        </is>
      </c>
      <c r="D12" s="4" t="inlineStr">
        <is>
          <t>Sau Series A</t>
        </is>
      </c>
      <c r="E12" s="4" t="inlineStr">
        <is>
          <t>Sau Series B</t>
        </is>
      </c>
      <c r="F12" s="4" t="inlineStr">
        <is>
          <t>Sau Series C</t>
        </is>
      </c>
    </row>
    <row r="13">
      <c r="A13" s="5" t="inlineStr">
        <is>
          <t>Nhà sáng lập (6 founders)</t>
        </is>
      </c>
      <c r="B13" s="7" t="n">
        <v>0.88</v>
      </c>
      <c r="C13" s="12">
        <f>B13*(1-$F$5)</f>
        <v/>
      </c>
      <c r="D13" s="12">
        <f>C13*(1-$F$6)</f>
        <v/>
      </c>
      <c r="E13" s="12">
        <f>D13*(1-$F$7)</f>
        <v/>
      </c>
      <c r="F13" s="12">
        <f>E13*(1-$F$8)</f>
        <v/>
      </c>
    </row>
    <row r="14">
      <c r="A14" s="5" t="inlineStr">
        <is>
          <t>ESOP (pool nhân sự)</t>
        </is>
      </c>
      <c r="B14" s="7" t="n">
        <v>0.12</v>
      </c>
      <c r="C14" s="12">
        <f>B14*(1-$F$5)</f>
        <v/>
      </c>
      <c r="D14" s="12">
        <f>C14*(1-$F$6)</f>
        <v/>
      </c>
      <c r="E14" s="12">
        <f>D14*(1-$F$7)</f>
        <v/>
      </c>
      <c r="F14" s="12">
        <f>E14*(1-$F$8)</f>
        <v/>
      </c>
    </row>
    <row r="15">
      <c r="A15" s="5" t="inlineStr">
        <is>
          <t>Seed investors</t>
        </is>
      </c>
      <c r="B15" s="12" t="inlineStr"/>
      <c r="C15" s="12">
        <f>$F$5</f>
        <v/>
      </c>
      <c r="D15" s="12">
        <f>C15*(1-$F$6)</f>
        <v/>
      </c>
      <c r="E15" s="12">
        <f>D15*(1-$F$7)</f>
        <v/>
      </c>
      <c r="F15" s="12">
        <f>E15*(1-$F$8)</f>
        <v/>
      </c>
    </row>
    <row r="16">
      <c r="A16" s="5" t="inlineStr">
        <is>
          <t>Series A investors</t>
        </is>
      </c>
      <c r="B16" s="12" t="inlineStr"/>
      <c r="C16" s="12" t="inlineStr"/>
      <c r="D16" s="12">
        <f>$F$6</f>
        <v/>
      </c>
      <c r="E16" s="12">
        <f>D16*(1-$F$7)</f>
        <v/>
      </c>
      <c r="F16" s="12">
        <f>E16*(1-$F$8)</f>
        <v/>
      </c>
    </row>
    <row r="17">
      <c r="A17" s="5" t="inlineStr">
        <is>
          <t>Series B investors</t>
        </is>
      </c>
      <c r="B17" s="12" t="inlineStr"/>
      <c r="C17" s="12" t="inlineStr"/>
      <c r="D17" s="12" t="inlineStr"/>
      <c r="E17" s="12">
        <f>$F$7</f>
        <v/>
      </c>
      <c r="F17" s="12">
        <f>E17*(1-$F$8)</f>
        <v/>
      </c>
    </row>
    <row r="18">
      <c r="A18" s="5" t="inlineStr">
        <is>
          <t>Series C investors</t>
        </is>
      </c>
      <c r="B18" s="12" t="inlineStr"/>
      <c r="C18" s="12" t="inlineStr"/>
      <c r="D18" s="12" t="inlineStr"/>
      <c r="E18" s="12" t="inlineStr"/>
      <c r="F18" s="12">
        <f>$F$8</f>
        <v/>
      </c>
    </row>
    <row r="19">
      <c r="A19" s="13" t="inlineStr">
        <is>
          <t>Tổng</t>
        </is>
      </c>
      <c r="B19" s="14">
        <f>SUM(B13:B18)</f>
        <v/>
      </c>
      <c r="C19" s="14">
        <f>SUM(C13:C18)</f>
        <v/>
      </c>
      <c r="D19" s="14">
        <f>SUM(D13:D18)</f>
        <v/>
      </c>
      <c r="E19" s="14">
        <f>SUM(E13:E18)</f>
        <v/>
      </c>
      <c r="F19" s="14">
        <f>SUM(F13:F18)</f>
        <v/>
      </c>
    </row>
    <row r="21">
      <c r="A21" s="2" t="inlineStr">
        <is>
          <t>Founders ~34% sau Series C. Mô hình pha loãng pro-rata đơn giản hóa (chưa tính ESOP refresh &amp; anti-dilution). Tổng mỗi cột = 100%.</t>
        </is>
      </c>
    </row>
  </sheetData>
  <mergeCells count="3">
    <mergeCell ref="A2:F2"/>
    <mergeCell ref="A21:F21"/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41"/>
  <sheetViews>
    <sheetView workbookViewId="0">
      <selection activeCell="A1" sqref="A1"/>
    </sheetView>
  </sheetViews>
  <sheetFormatPr baseColWidth="8" defaultRowHeight="15"/>
  <cols>
    <col width="2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</cols>
  <sheetData>
    <row r="1">
      <c r="A1" s="1" t="inlineStr">
        <is>
          <t>Định giá — DCF (CAPM/WACC) + sensitivity</t>
        </is>
      </c>
    </row>
    <row r="2">
      <c r="A2" s="2" t="inlineStr">
        <is>
          <t>WACC, exit multiple, DT Y5 link từ Assumptions/P&amp;L. FCF rõ ràng (xanh) = ước tính. EV = ΣPV(FCF) + PV(terminal). Sensitivity tính trực tiếp bằng công thức (không hardcode).</t>
        </is>
      </c>
    </row>
    <row r="4">
      <c r="A4" s="3" t="inlineStr">
        <is>
          <t>DCF base (tỷ VND)</t>
        </is>
      </c>
      <c r="B4" s="4" t="inlineStr">
        <is>
          <t>Năm 1</t>
        </is>
      </c>
      <c r="C4" s="4" t="inlineStr">
        <is>
          <t>Năm 2</t>
        </is>
      </c>
      <c r="D4" s="4" t="inlineStr">
        <is>
          <t>Năm 3</t>
        </is>
      </c>
      <c r="E4" s="4" t="inlineStr">
        <is>
          <t>Năm 4</t>
        </is>
      </c>
      <c r="F4" s="4" t="inlineStr">
        <is>
          <t>Năm 5</t>
        </is>
      </c>
    </row>
    <row r="5">
      <c r="A5" s="5" t="inlineStr">
        <is>
          <t>Năm (t)</t>
        </is>
      </c>
      <c r="B5" s="26" t="n">
        <v>1</v>
      </c>
      <c r="C5" s="26" t="n">
        <v>2</v>
      </c>
      <c r="D5" s="26" t="n">
        <v>3</v>
      </c>
      <c r="E5" s="26" t="n">
        <v>4</v>
      </c>
      <c r="F5" s="26" t="n">
        <v>5</v>
      </c>
    </row>
    <row r="6">
      <c r="A6" s="5" t="inlineStr">
        <is>
          <t>FCF (≈EBITDA−capex−ΔNWC)</t>
        </is>
      </c>
      <c r="B6" s="6" t="n">
        <v>-31</v>
      </c>
      <c r="C6" s="6" t="n">
        <v>-66</v>
      </c>
      <c r="D6" s="6" t="n">
        <v>-102</v>
      </c>
      <c r="E6" s="6" t="n">
        <v>-82</v>
      </c>
      <c r="F6" s="6" t="n">
        <v>18</v>
      </c>
    </row>
    <row r="7">
      <c r="A7" s="5" t="inlineStr">
        <is>
          <t>Hệ số chiết khấu</t>
        </is>
      </c>
      <c r="B7" s="30">
        <f>1/(1+Assumptions!$B$30)^B5</f>
        <v/>
      </c>
      <c r="C7" s="30">
        <f>1/(1+Assumptions!$B$30)^C5</f>
        <v/>
      </c>
      <c r="D7" s="30">
        <f>1/(1+Assumptions!$B$30)^D5</f>
        <v/>
      </c>
      <c r="E7" s="30">
        <f>1/(1+Assumptions!$B$30)^E5</f>
        <v/>
      </c>
      <c r="F7" s="30">
        <f>1/(1+Assumptions!$B$30)^F5</f>
        <v/>
      </c>
    </row>
    <row r="8">
      <c r="A8" s="5" t="inlineStr">
        <is>
          <t>PV của FCF</t>
        </is>
      </c>
      <c r="B8" s="19">
        <f>B6*B7</f>
        <v/>
      </c>
      <c r="C8" s="19">
        <f>C6*C7</f>
        <v/>
      </c>
      <c r="D8" s="19">
        <f>D6*D7</f>
        <v/>
      </c>
      <c r="E8" s="19">
        <f>E6*E7</f>
        <v/>
      </c>
      <c r="F8" s="19">
        <f>F6*F7</f>
        <v/>
      </c>
    </row>
    <row r="10">
      <c r="A10" s="5" t="inlineStr">
        <is>
          <t>PV tổng FCF Y1–5 (tỷ)</t>
        </is>
      </c>
      <c r="B10" s="19">
        <f>SUM(B8:F8)</f>
        <v/>
      </c>
    </row>
    <row r="11">
      <c r="A11" s="5" t="inlineStr">
        <is>
          <t>DT Y5 (tỷ)</t>
        </is>
      </c>
      <c r="B11" s="23">
        <f>'P&amp;L 5 năm'!F5</f>
        <v/>
      </c>
    </row>
    <row r="12">
      <c r="A12" s="5" t="inlineStr">
        <is>
          <t>Exit multiple</t>
        </is>
      </c>
      <c r="B12" s="31">
        <f>Assumptions!B31</f>
        <v/>
      </c>
    </row>
    <row r="13">
      <c r="A13" s="5" t="inlineStr">
        <is>
          <t>Terminal value Y5 (tỷ)</t>
        </is>
      </c>
      <c r="B13" s="19">
        <f>B11*B12</f>
        <v/>
      </c>
    </row>
    <row r="14">
      <c r="A14" s="5" t="inlineStr">
        <is>
          <t>PV terminal value (tỷ)</t>
        </is>
      </c>
      <c r="B14" s="19">
        <f>B13*F7</f>
        <v/>
      </c>
    </row>
    <row r="15">
      <c r="A15" s="13" t="inlineStr">
        <is>
          <t>EV hôm nay (tỷ VND)</t>
        </is>
      </c>
      <c r="B15" s="17">
        <f>B10+B14</f>
        <v/>
      </c>
    </row>
    <row r="16">
      <c r="A16" s="13" t="inlineStr">
        <is>
          <t>EV ($M)</t>
        </is>
      </c>
      <c r="B16" s="17">
        <f>B15/Assumptions!B23</f>
        <v/>
      </c>
    </row>
    <row r="18">
      <c r="A18" s="8" t="inlineStr">
        <is>
          <t>Sensitivity — EV (tỷ VND): Exit multiple × WACC</t>
        </is>
      </c>
      <c r="B18" s="9" t="n"/>
      <c r="C18" s="9" t="n"/>
      <c r="D18" s="9" t="n"/>
      <c r="E18" s="9" t="n"/>
      <c r="F18" s="9" t="n"/>
    </row>
    <row r="19">
      <c r="A19" s="5" t="inlineStr">
        <is>
          <t>Exit ↓ / WACC →</t>
        </is>
      </c>
      <c r="B19" s="7" t="n">
        <v>0.16</v>
      </c>
      <c r="C19" s="7" t="n">
        <v>0.18</v>
      </c>
      <c r="D19" s="7" t="n">
        <v>0.2</v>
      </c>
      <c r="E19" s="7" t="n">
        <v>0.22</v>
      </c>
      <c r="F19" s="7" t="n">
        <v>0.24</v>
      </c>
    </row>
    <row r="20">
      <c r="A20" s="15" t="n">
        <v>3</v>
      </c>
      <c r="B20" s="26">
        <f>SUMPRODUCT($B$6:$F$6,1/(1+B$19)^$B$5:$F$5)+$B$11*$A20/(1+B$19)^5</f>
        <v/>
      </c>
      <c r="C20" s="26">
        <f>SUMPRODUCT($B$6:$F$6,1/(1+C$19)^$B$5:$F$5)+$B$11*$A20/(1+C$19)^5</f>
        <v/>
      </c>
      <c r="D20" s="26">
        <f>SUMPRODUCT($B$6:$F$6,1/(1+D$19)^$B$5:$F$5)+$B$11*$A20/(1+D$19)^5</f>
        <v/>
      </c>
      <c r="E20" s="26">
        <f>SUMPRODUCT($B$6:$F$6,1/(1+E$19)^$B$5:$F$5)+$B$11*$A20/(1+E$19)^5</f>
        <v/>
      </c>
      <c r="F20" s="26">
        <f>SUMPRODUCT($B$6:$F$6,1/(1+F$19)^$B$5:$F$5)+$B$11*$A20/(1+F$19)^5</f>
        <v/>
      </c>
    </row>
    <row r="21">
      <c r="A21" s="15" t="n">
        <v>4</v>
      </c>
      <c r="B21" s="26">
        <f>SUMPRODUCT($B$6:$F$6,1/(1+B$19)^$B$5:$F$5)+$B$11*$A21/(1+B$19)^5</f>
        <v/>
      </c>
      <c r="C21" s="26">
        <f>SUMPRODUCT($B$6:$F$6,1/(1+C$19)^$B$5:$F$5)+$B$11*$A21/(1+C$19)^5</f>
        <v/>
      </c>
      <c r="D21" s="26">
        <f>SUMPRODUCT($B$6:$F$6,1/(1+D$19)^$B$5:$F$5)+$B$11*$A21/(1+D$19)^5</f>
        <v/>
      </c>
      <c r="E21" s="26">
        <f>SUMPRODUCT($B$6:$F$6,1/(1+E$19)^$B$5:$F$5)+$B$11*$A21/(1+E$19)^5</f>
        <v/>
      </c>
      <c r="F21" s="26">
        <f>SUMPRODUCT($B$6:$F$6,1/(1+F$19)^$B$5:$F$5)+$B$11*$A21/(1+F$19)^5</f>
        <v/>
      </c>
    </row>
    <row r="22">
      <c r="A22" s="15" t="n">
        <v>5</v>
      </c>
      <c r="B22" s="26">
        <f>SUMPRODUCT($B$6:$F$6,1/(1+B$19)^$B$5:$F$5)+$B$11*$A22/(1+B$19)^5</f>
        <v/>
      </c>
      <c r="C22" s="26">
        <f>SUMPRODUCT($B$6:$F$6,1/(1+C$19)^$B$5:$F$5)+$B$11*$A22/(1+C$19)^5</f>
        <v/>
      </c>
      <c r="D22" s="26">
        <f>SUMPRODUCT($B$6:$F$6,1/(1+D$19)^$B$5:$F$5)+$B$11*$A22/(1+D$19)^5</f>
        <v/>
      </c>
      <c r="E22" s="26">
        <f>SUMPRODUCT($B$6:$F$6,1/(1+E$19)^$B$5:$F$5)+$B$11*$A22/(1+E$19)^5</f>
        <v/>
      </c>
      <c r="F22" s="26">
        <f>SUMPRODUCT($B$6:$F$6,1/(1+F$19)^$B$5:$F$5)+$B$11*$A22/(1+F$19)^5</f>
        <v/>
      </c>
    </row>
    <row r="23">
      <c r="A23" s="15" t="n">
        <v>6</v>
      </c>
      <c r="B23" s="26">
        <f>SUMPRODUCT($B$6:$F$6,1/(1+B$19)^$B$5:$F$5)+$B$11*$A23/(1+B$19)^5</f>
        <v/>
      </c>
      <c r="C23" s="26">
        <f>SUMPRODUCT($B$6:$F$6,1/(1+C$19)^$B$5:$F$5)+$B$11*$A23/(1+C$19)^5</f>
        <v/>
      </c>
      <c r="D23" s="26">
        <f>SUMPRODUCT($B$6:$F$6,1/(1+D$19)^$B$5:$F$5)+$B$11*$A23/(1+D$19)^5</f>
        <v/>
      </c>
      <c r="E23" s="26">
        <f>SUMPRODUCT($B$6:$F$6,1/(1+E$19)^$B$5:$F$5)+$B$11*$A23/(1+E$19)^5</f>
        <v/>
      </c>
      <c r="F23" s="26">
        <f>SUMPRODUCT($B$6:$F$6,1/(1+F$19)^$B$5:$F$5)+$B$11*$A23/(1+F$19)^5</f>
        <v/>
      </c>
    </row>
    <row r="24">
      <c r="A24" s="15" t="n">
        <v>7</v>
      </c>
      <c r="B24" s="26">
        <f>SUMPRODUCT($B$6:$F$6,1/(1+B$19)^$B$5:$F$5)+$B$11*$A24/(1+B$19)^5</f>
        <v/>
      </c>
      <c r="C24" s="26">
        <f>SUMPRODUCT($B$6:$F$6,1/(1+C$19)^$B$5:$F$5)+$B$11*$A24/(1+C$19)^5</f>
        <v/>
      </c>
      <c r="D24" s="26">
        <f>SUMPRODUCT($B$6:$F$6,1/(1+D$19)^$B$5:$F$5)+$B$11*$A24/(1+D$19)^5</f>
        <v/>
      </c>
      <c r="E24" s="26">
        <f>SUMPRODUCT($B$6:$F$6,1/(1+E$19)^$B$5:$F$5)+$B$11*$A24/(1+E$19)^5</f>
        <v/>
      </c>
      <c r="F24" s="26">
        <f>SUMPRODUCT($B$6:$F$6,1/(1+F$19)^$B$5:$F$5)+$B$11*$A24/(1+F$19)^5</f>
        <v/>
      </c>
    </row>
    <row r="25">
      <c r="A25" s="2" t="inlineStr">
        <is>
          <t>Ô tô đậm cột giữa (WACC 20%, exit 5×) = kịch bản base ≈ 1.740 tỷ. Lưới tính trực tiếp — không có giá trị hardcode.</t>
        </is>
      </c>
    </row>
    <row r="27">
      <c r="A27" s="8" t="inlineStr">
        <is>
          <t>Kịch bản Bear / Base / Bull (EV động)</t>
        </is>
      </c>
      <c r="B27" s="9" t="n"/>
      <c r="C27" s="9" t="n"/>
      <c r="D27" s="9" t="n"/>
    </row>
    <row r="28">
      <c r="A28" s="3" t="inlineStr">
        <is>
          <t>Giả định</t>
        </is>
      </c>
      <c r="B28" s="4" t="inlineStr">
        <is>
          <t>🐻 Bear</t>
        </is>
      </c>
      <c r="C28" s="4" t="inlineStr">
        <is>
          <t>🎯 Base</t>
        </is>
      </c>
      <c r="D28" s="4" t="inlineStr">
        <is>
          <t>🚀 Bull</t>
        </is>
      </c>
    </row>
    <row r="29">
      <c r="A29" s="5" t="inlineStr">
        <is>
          <t>DT Y5 (tỷ)</t>
        </is>
      </c>
      <c r="B29" s="6" t="n">
        <v>600</v>
      </c>
      <c r="C29" s="16">
        <f>'P&amp;L 5 năm'!F5</f>
        <v/>
      </c>
      <c r="D29" s="6" t="n">
        <v>1400</v>
      </c>
    </row>
    <row r="30">
      <c r="A30" s="5" t="inlineStr">
        <is>
          <t>Churn/tháng (%)</t>
        </is>
      </c>
      <c r="B30" s="7" t="n">
        <v>0.05</v>
      </c>
      <c r="C30" s="7" t="n">
        <v>0.033</v>
      </c>
      <c r="D30" s="7" t="n">
        <v>0.02</v>
      </c>
    </row>
    <row r="31">
      <c r="A31" s="5" t="inlineStr">
        <is>
          <t>Exit multiple</t>
        </is>
      </c>
      <c r="B31" s="15" t="n">
        <v>3</v>
      </c>
      <c r="C31" s="15" t="n">
        <v>5</v>
      </c>
      <c r="D31" s="15" t="n">
        <v>7</v>
      </c>
    </row>
    <row r="32">
      <c r="A32" s="5" t="inlineStr">
        <is>
          <t>WACC (%)</t>
        </is>
      </c>
      <c r="B32" s="7" t="n">
        <v>0.24</v>
      </c>
      <c r="C32" s="7" t="n">
        <v>0.2</v>
      </c>
      <c r="D32" s="7" t="n">
        <v>0.18</v>
      </c>
    </row>
    <row r="33">
      <c r="A33" s="5" t="inlineStr">
        <is>
          <t>FCF Năm 1</t>
        </is>
      </c>
      <c r="B33" s="6" t="n">
        <v>-32</v>
      </c>
      <c r="C33" s="6" t="n">
        <v>-31</v>
      </c>
      <c r="D33" s="6" t="n">
        <v>-28</v>
      </c>
      <c r="F33" s="32" t="n">
        <v>1</v>
      </c>
    </row>
    <row r="34">
      <c r="A34" s="5" t="inlineStr">
        <is>
          <t>FCF Năm 2</t>
        </is>
      </c>
      <c r="B34" s="6" t="n">
        <v>-66</v>
      </c>
      <c r="C34" s="6" t="n">
        <v>-66</v>
      </c>
      <c r="D34" s="6" t="n">
        <v>-55</v>
      </c>
      <c r="F34" s="32" t="n">
        <v>2</v>
      </c>
    </row>
    <row r="35">
      <c r="A35" s="5" t="inlineStr">
        <is>
          <t>FCF Năm 3</t>
        </is>
      </c>
      <c r="B35" s="6" t="n">
        <v>-100</v>
      </c>
      <c r="C35" s="6" t="n">
        <v>-102</v>
      </c>
      <c r="D35" s="6" t="n">
        <v>-80</v>
      </c>
      <c r="F35" s="32" t="n">
        <v>3</v>
      </c>
    </row>
    <row r="36">
      <c r="A36" s="5" t="inlineStr">
        <is>
          <t>FCF Năm 4</t>
        </is>
      </c>
      <c r="B36" s="6" t="n">
        <v>-80</v>
      </c>
      <c r="C36" s="6" t="n">
        <v>-82</v>
      </c>
      <c r="D36" s="6" t="n">
        <v>-40</v>
      </c>
      <c r="F36" s="32" t="n">
        <v>4</v>
      </c>
    </row>
    <row r="37">
      <c r="A37" s="5" t="inlineStr">
        <is>
          <t>FCF Năm 5</t>
        </is>
      </c>
      <c r="B37" s="6" t="n">
        <v>10</v>
      </c>
      <c r="C37" s="6" t="n">
        <v>18</v>
      </c>
      <c r="D37" s="6" t="n">
        <v>40</v>
      </c>
      <c r="F37" s="32" t="n">
        <v>5</v>
      </c>
    </row>
    <row r="38">
      <c r="A38" s="13" t="inlineStr">
        <is>
          <t>EV (tỷ VND)</t>
        </is>
      </c>
      <c r="B38" s="33">
        <f>SUMPRODUCT(B33:B37,1/(1+B32)^$F$33:$F$37)+B29*B31/(1+B32)^5</f>
        <v/>
      </c>
      <c r="C38" s="33">
        <f>SUMPRODUCT(C33:C37,1/(1+C32)^$F$33:$F$37)+C29*C31/(1+C32)^5</f>
        <v/>
      </c>
      <c r="D38" s="33">
        <f>SUMPRODUCT(D33:D37,1/(1+D32)^$F$33:$F$37)+D29*D31/(1+D32)^5</f>
        <v/>
      </c>
    </row>
    <row r="39">
      <c r="A39" s="13" t="inlineStr">
        <is>
          <t>EV ($M)</t>
        </is>
      </c>
      <c r="B39" s="17">
        <f>B38/Assumptions!$B$23</f>
        <v/>
      </c>
      <c r="C39" s="17">
        <f>C38/Assumptions!$B$23</f>
        <v/>
      </c>
      <c r="D39" s="17">
        <f>D38/Assumptions!$B$23</f>
        <v/>
      </c>
    </row>
    <row r="41">
      <c r="A41" s="2" t="inlineStr">
        <is>
          <t>EV mỗi kịch bản tính từ chính FCF &amp; giả định của kịch bản đó (động). Base ≈ 1.740 tỷ ($68M); Bear ≈ 460 tỷ ($18M); Bull ≈ 4.160 tỷ ($163M).</t>
        </is>
      </c>
    </row>
  </sheetData>
  <mergeCells count="4">
    <mergeCell ref="A41:F41"/>
    <mergeCell ref="A2:F2"/>
    <mergeCell ref="A1:F1"/>
    <mergeCell ref="A25:F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2026-06-11T17:00:32Z</dcterms:created>
  <dcterms:modified xsi:type="dcterms:W3CDTF">2026-06-11T17:00:32Z</dcterms:modified>
</cp:coreProperties>
</file>